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hodges\Desktop\"/>
    </mc:Choice>
  </mc:AlternateContent>
  <xr:revisionPtr revIDLastSave="0" documentId="13_ncr:1_{BF33C4D5-D527-4952-A755-5939F63F46CA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F11" i="1" l="1"/>
  <c r="F10" i="1"/>
  <c r="R29" i="1" l="1"/>
  <c r="R28" i="1"/>
  <c r="N29" i="1"/>
  <c r="N28" i="1"/>
  <c r="C22" i="1"/>
  <c r="M30" i="1" s="1"/>
  <c r="M28" i="1" l="1"/>
  <c r="M29" i="1"/>
  <c r="F9" i="1" l="1"/>
  <c r="E7" i="1"/>
  <c r="D7" i="1"/>
  <c r="F7" i="1" s="1"/>
  <c r="D8" i="1"/>
  <c r="F8" i="1" s="1"/>
  <c r="D6" i="1"/>
  <c r="D12" i="1"/>
  <c r="F12" i="1" s="1"/>
  <c r="D5" i="1"/>
  <c r="F5" i="1" s="1"/>
  <c r="D4" i="1"/>
  <c r="E6" i="1" l="1"/>
  <c r="F6" i="1"/>
  <c r="E4" i="1"/>
  <c r="F4" i="1"/>
  <c r="D13" i="1"/>
  <c r="C16" i="1" s="1"/>
  <c r="C18" i="1" s="1"/>
  <c r="F13" i="1" l="1"/>
  <c r="E13" i="1"/>
  <c r="C15" i="1" s="1"/>
  <c r="D15" i="1" s="1"/>
  <c r="K29" i="1" s="1"/>
  <c r="P29" i="1" s="1"/>
  <c r="D16" i="1"/>
  <c r="J30" i="1" s="1"/>
  <c r="O30" i="1" s="1"/>
  <c r="C17" i="1"/>
  <c r="P30" i="1"/>
  <c r="L29" i="1" l="1"/>
  <c r="Q29" i="1" s="1"/>
  <c r="L28" i="1"/>
  <c r="Q28" i="1" s="1"/>
  <c r="J29" i="1"/>
  <c r="O29" i="1" s="1"/>
  <c r="J28" i="1"/>
  <c r="O28" i="1" s="1"/>
  <c r="K28" i="1"/>
  <c r="P28" i="1" s="1"/>
  <c r="E19" i="1" l="1"/>
  <c r="E20" i="1" s="1"/>
  <c r="F18" i="1"/>
  <c r="F19" i="1"/>
  <c r="F20" i="1" s="1"/>
  <c r="F17" i="1"/>
</calcChain>
</file>

<file path=xl/sharedStrings.xml><?xml version="1.0" encoding="utf-8"?>
<sst xmlns="http://schemas.openxmlformats.org/spreadsheetml/2006/main" count="116" uniqueCount="50">
  <si>
    <t>Yes</t>
  </si>
  <si>
    <t>Do you use Home Branching or our Mobile App and log in at least every 60 days?</t>
  </si>
  <si>
    <t>Question</t>
  </si>
  <si>
    <t>Answer</t>
  </si>
  <si>
    <t>Do you have at least one ACH Deposit or Withdrawal post to your checking every month?</t>
  </si>
  <si>
    <t>If you have a credit card, how many transactions do you average per month?</t>
  </si>
  <si>
    <t>No</t>
  </si>
  <si>
    <t>Michigan Made Points</t>
  </si>
  <si>
    <t xml:space="preserve">          If so, have you ever had a loan charged off from CP?</t>
  </si>
  <si>
    <t xml:space="preserve">          If so, does the loan have a balance greater than $0?</t>
  </si>
  <si>
    <t>Do you have a loan with CP that is not a mortgage, not a Visa, and is not delinquent?</t>
  </si>
  <si>
    <t>How many transactions do you average per month on your debit card?</t>
  </si>
  <si>
    <t>Do you have an open Mortgage with CP?</t>
  </si>
  <si>
    <t>Kasasa Qualification</t>
  </si>
  <si>
    <t>N/A</t>
  </si>
  <si>
    <t>Erie</t>
  </si>
  <si>
    <t>Ontario</t>
  </si>
  <si>
    <t>Huron</t>
  </si>
  <si>
    <t>Michigan</t>
  </si>
  <si>
    <t>Superior</t>
  </si>
  <si>
    <t>Michigan Made</t>
  </si>
  <si>
    <t>Kasasa</t>
  </si>
  <si>
    <t>Kasasa Qualified</t>
  </si>
  <si>
    <t>Kasasa Not Qualified</t>
  </si>
  <si>
    <t>0 - 10K</t>
  </si>
  <si>
    <t>10 - 20K</t>
  </si>
  <si>
    <t>20K +</t>
  </si>
  <si>
    <t>Do Not Qualify</t>
  </si>
  <si>
    <t>Qualified</t>
  </si>
  <si>
    <t>What is your average monthly balance in your Kasasa Saver?</t>
  </si>
  <si>
    <t>What is your average monthly balance in your Kasasa Cash?</t>
  </si>
  <si>
    <t>Total average monthly balance</t>
  </si>
  <si>
    <t>Kasasa Cash</t>
  </si>
  <si>
    <t>Kasasa Saver</t>
  </si>
  <si>
    <t>MM</t>
  </si>
  <si>
    <t>KC</t>
  </si>
  <si>
    <t>KS</t>
  </si>
  <si>
    <t>ATM Fees</t>
  </si>
  <si>
    <t>Yes!</t>
  </si>
  <si>
    <t>MM Points Possible</t>
  </si>
  <si>
    <r>
      <rPr>
        <sz val="24"/>
        <color theme="2" tint="-0.749992370372631"/>
        <rFont val="Poppins"/>
      </rPr>
      <t xml:space="preserve">                                Dive in! </t>
    </r>
    <r>
      <rPr>
        <sz val="24"/>
        <color theme="2" tint="-0.749992370372631"/>
        <rFont val="Poppins Light"/>
      </rPr>
      <t>See how Michigan Made Compares</t>
    </r>
  </si>
  <si>
    <t>Your Results!</t>
  </si>
  <si>
    <r>
      <rPr>
        <b/>
        <sz val="12"/>
        <color theme="0"/>
        <rFont val="Poppins"/>
      </rPr>
      <t>Start here:</t>
    </r>
    <r>
      <rPr>
        <b/>
        <sz val="12"/>
        <color theme="0"/>
        <rFont val="Poppins Light"/>
      </rPr>
      <t xml:space="preserve"> Simply fill in yellow boxes!</t>
    </r>
  </si>
  <si>
    <t>Are you signed up to receive only an E-Statement and not a paper one on your current checking account?</t>
  </si>
  <si>
    <t>Did you qualify for Kasasa?</t>
  </si>
  <si>
    <t>What Michigan Made Account will you qualify for?</t>
  </si>
  <si>
    <t>Did you qualify for ATM Fee Refunds up to $10 per month?</t>
  </si>
  <si>
    <t>How many points do you need to qualify for next tier? (Blue highlighted cells above show options for more points):</t>
  </si>
  <si>
    <r>
      <t xml:space="preserve">Est. Total Div </t>
    </r>
    <r>
      <rPr>
        <b/>
        <u/>
        <sz val="12"/>
        <color theme="1"/>
        <rFont val="Poppins Light"/>
      </rPr>
      <t>Per Year</t>
    </r>
  </si>
  <si>
    <t>Cumulative 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</si>
</sst>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oppins Light"/>
    </font>
    <font>
      <b/>
      <sz val="11"/>
      <color theme="1"/>
      <name val="Poppins Light"/>
    </font>
    <font>
      <sz val="24"/>
      <color theme="2" tint="-0.749992370372631"/>
      <name val="Poppins"/>
    </font>
    <font>
      <sz val="24"/>
      <color theme="2" tint="-0.749992370372631"/>
      <name val="Poppins Light"/>
    </font>
    <font>
      <sz val="11"/>
      <color theme="2" tint="-0.749992370372631"/>
      <name val="Calibri"/>
      <family val="2"/>
      <scheme val="minor"/>
    </font>
    <font>
      <b/>
      <sz val="12"/>
      <color theme="0"/>
      <name val="Poppins Light"/>
    </font>
    <font>
      <b/>
      <sz val="12"/>
      <color theme="0"/>
      <name val="Poppins"/>
    </font>
    <font>
      <b/>
      <sz val="12"/>
      <color theme="1"/>
      <name val="Poppins Light"/>
    </font>
    <font>
      <sz val="12"/>
      <color theme="0"/>
      <name val="Poppins Light"/>
    </font>
    <font>
      <b/>
      <sz val="12"/>
      <name val="Poppins Light"/>
    </font>
    <font>
      <sz val="12"/>
      <color theme="1"/>
      <name val="Poppins Light"/>
    </font>
    <font>
      <sz val="12"/>
      <color theme="0"/>
      <name val="Poppins"/>
    </font>
    <font>
      <sz val="12"/>
      <name val="Poppins Light"/>
    </font>
    <font>
      <sz val="12"/>
      <color theme="1"/>
      <name val="Calibri"/>
      <family val="2"/>
      <scheme val="minor"/>
    </font>
    <font>
      <b/>
      <u/>
      <sz val="12"/>
      <color theme="1"/>
      <name val="Poppins Light"/>
    </font>
  </fonts>
  <fills count="12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DE53"/>
        <bgColor indexed="64"/>
      </patternFill>
    </fill>
    <fill>
      <patternFill patternType="solid">
        <fgColor theme="2" tint="-0.74999237037263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3" borderId="0" xfId="0" applyFill="1"/>
    <xf numFmtId="164" fontId="0" fillId="3" borderId="0" xfId="0" applyNumberFormat="1" applyFill="1"/>
    <xf numFmtId="0" fontId="0" fillId="5" borderId="0" xfId="0" applyFill="1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164" fontId="10" fillId="11" borderId="1" xfId="0" applyNumberFormat="1" applyFont="1" applyFill="1" applyBorder="1" applyAlignment="1">
      <alignment horizontal="center"/>
    </xf>
    <xf numFmtId="0" fontId="11" fillId="7" borderId="4" xfId="0" applyFont="1" applyFill="1" applyBorder="1" applyAlignment="1">
      <alignment wrapText="1"/>
    </xf>
    <xf numFmtId="0" fontId="11" fillId="7" borderId="4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 wrapText="1"/>
    </xf>
    <xf numFmtId="0" fontId="12" fillId="9" borderId="2" xfId="0" applyFont="1" applyFill="1" applyBorder="1" applyAlignment="1">
      <alignment wrapText="1"/>
    </xf>
    <xf numFmtId="0" fontId="12" fillId="10" borderId="2" xfId="0" applyFont="1" applyFill="1" applyBorder="1" applyAlignment="1" applyProtection="1">
      <alignment horizontal="center"/>
      <protection locked="0"/>
    </xf>
    <xf numFmtId="0" fontId="12" fillId="9" borderId="2" xfId="0" applyFont="1" applyFill="1" applyBorder="1" applyAlignment="1">
      <alignment horizontal="center"/>
    </xf>
    <xf numFmtId="0" fontId="12" fillId="9" borderId="1" xfId="0" applyFont="1" applyFill="1" applyBorder="1" applyAlignment="1">
      <alignment wrapText="1"/>
    </xf>
    <xf numFmtId="0" fontId="12" fillId="10" borderId="1" xfId="0" applyFont="1" applyFill="1" applyBorder="1" applyAlignment="1" applyProtection="1">
      <alignment horizontal="center"/>
      <protection locked="0"/>
    </xf>
    <xf numFmtId="0" fontId="12" fillId="9" borderId="1" xfId="0" applyFont="1" applyFill="1" applyBorder="1" applyAlignment="1">
      <alignment horizontal="center"/>
    </xf>
    <xf numFmtId="0" fontId="12" fillId="9" borderId="3" xfId="0" applyFont="1" applyFill="1" applyBorder="1" applyAlignment="1">
      <alignment wrapText="1"/>
    </xf>
    <xf numFmtId="0" fontId="12" fillId="10" borderId="3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2" fillId="0" borderId="0" xfId="0" applyFont="1"/>
    <xf numFmtId="0" fontId="12" fillId="7" borderId="1" xfId="0" applyFont="1" applyFill="1" applyBorder="1" applyAlignment="1">
      <alignment wrapText="1"/>
    </xf>
    <xf numFmtId="0" fontId="12" fillId="4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164" fontId="12" fillId="8" borderId="3" xfId="0" applyNumberFormat="1" applyFont="1" applyFill="1" applyBorder="1" applyAlignment="1">
      <alignment horizontal="center"/>
    </xf>
    <xf numFmtId="0" fontId="12" fillId="8" borderId="0" xfId="0" applyFont="1" applyFill="1" applyAlignment="1">
      <alignment wrapText="1"/>
    </xf>
    <xf numFmtId="6" fontId="12" fillId="10" borderId="1" xfId="0" applyNumberFormat="1" applyFont="1" applyFill="1" applyBorder="1" applyAlignment="1" applyProtection="1">
      <alignment horizontal="center"/>
      <protection locked="0"/>
    </xf>
    <xf numFmtId="6" fontId="12" fillId="4" borderId="1" xfId="0" applyNumberFormat="1" applyFont="1" applyFill="1" applyBorder="1" applyAlignment="1" applyProtection="1">
      <alignment horizontal="center"/>
    </xf>
    <xf numFmtId="0" fontId="15" fillId="0" borderId="0" xfId="0" applyFont="1" applyAlignment="1">
      <alignment horizontal="center"/>
    </xf>
    <xf numFmtId="0" fontId="9" fillId="8" borderId="0" xfId="0" applyFont="1" applyFill="1" applyAlignment="1">
      <alignment horizontal="right"/>
    </xf>
    <xf numFmtId="10" fontId="10" fillId="11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8" borderId="2" xfId="0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/>
    </xf>
    <xf numFmtId="0" fontId="7" fillId="11" borderId="0" xfId="0" applyFont="1" applyFill="1" applyBorder="1" applyAlignment="1">
      <alignment horizontal="center" wrapText="1"/>
    </xf>
    <xf numFmtId="0" fontId="13" fillId="6" borderId="5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2" fillId="9" borderId="2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">
    <dxf>
      <font>
        <color theme="2" tint="-0.499984740745262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DE53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38100</xdr:rowOff>
    </xdr:from>
    <xdr:to>
      <xdr:col>1</xdr:col>
      <xdr:colOff>2400300</xdr:colOff>
      <xdr:row>0</xdr:row>
      <xdr:rowOff>939006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32" t="29825" r="27698" b="31194"/>
        <a:stretch/>
      </xdr:blipFill>
      <xdr:spPr bwMode="auto">
        <a:xfrm>
          <a:off x="476250" y="38100"/>
          <a:ext cx="2162175" cy="90090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142875</xdr:colOff>
      <xdr:row>16</xdr:row>
      <xdr:rowOff>88900</xdr:rowOff>
    </xdr:from>
    <xdr:to>
      <xdr:col>4</xdr:col>
      <xdr:colOff>1619250</xdr:colOff>
      <xdr:row>17</xdr:row>
      <xdr:rowOff>413721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32" t="29825" r="27698" b="31194"/>
        <a:stretch/>
      </xdr:blipFill>
      <xdr:spPr bwMode="auto">
        <a:xfrm>
          <a:off x="7839075" y="7375525"/>
          <a:ext cx="1476375" cy="6151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31"/>
  <sheetViews>
    <sheetView showGridLines="0" tabSelected="1" zoomScale="90" zoomScaleNormal="90" workbookViewId="0"/>
  </sheetViews>
  <sheetFormatPr defaultRowHeight="15" x14ac:dyDescent="0.25"/>
  <cols>
    <col min="1" max="1" width="3.5703125" customWidth="1"/>
    <col min="2" max="2" width="68.28515625" customWidth="1"/>
    <col min="3" max="3" width="15.7109375" style="1" customWidth="1"/>
    <col min="4" max="4" width="27.85546875" style="1" customWidth="1"/>
    <col min="5" max="5" width="25.85546875" style="1" customWidth="1"/>
    <col min="6" max="6" width="23.85546875" bestFit="1" customWidth="1"/>
    <col min="7" max="9" width="9.140625" hidden="1" customWidth="1"/>
    <col min="10" max="10" width="14.5703125" hidden="1" customWidth="1"/>
    <col min="11" max="11" width="11.42578125" hidden="1" customWidth="1"/>
    <col min="12" max="12" width="12.140625" hidden="1" customWidth="1"/>
    <col min="13" max="24" width="9.140625" hidden="1" customWidth="1"/>
    <col min="25" max="26" width="9.140625" style="1" hidden="1" customWidth="1"/>
    <col min="27" max="27" width="10" style="1" hidden="1" customWidth="1"/>
    <col min="28" max="32" width="9.140625" style="1" hidden="1" customWidth="1"/>
    <col min="33" max="33" width="19.5703125" style="1" hidden="1" customWidth="1"/>
    <col min="34" max="34" width="15.7109375" style="1" hidden="1" customWidth="1"/>
    <col min="35" max="35" width="12.140625" hidden="1" customWidth="1"/>
    <col min="36" max="40" width="9.140625" hidden="1" customWidth="1"/>
    <col min="41" max="42" width="9.140625" customWidth="1"/>
  </cols>
  <sheetData>
    <row r="1" spans="2:39" ht="75" customHeight="1" x14ac:dyDescent="1.25">
      <c r="B1" s="41" t="s">
        <v>40</v>
      </c>
      <c r="C1" s="42"/>
      <c r="D1" s="42"/>
      <c r="E1" s="42"/>
      <c r="F1" s="42"/>
      <c r="W1" t="s">
        <v>37</v>
      </c>
      <c r="Y1" s="1">
        <v>1</v>
      </c>
      <c r="Z1" s="1">
        <v>2</v>
      </c>
      <c r="AA1" s="1">
        <v>3</v>
      </c>
      <c r="AB1" s="1">
        <v>4</v>
      </c>
      <c r="AC1" s="1">
        <v>5</v>
      </c>
      <c r="AD1" s="1">
        <v>6</v>
      </c>
      <c r="AE1" s="1">
        <v>7</v>
      </c>
      <c r="AF1" s="1">
        <v>8</v>
      </c>
      <c r="AG1" s="1">
        <v>9</v>
      </c>
      <c r="AH1" s="1">
        <v>10</v>
      </c>
      <c r="AI1" s="1">
        <v>11</v>
      </c>
    </row>
    <row r="2" spans="2:39" ht="30" customHeight="1" x14ac:dyDescent="0.65">
      <c r="B2" s="45" t="s">
        <v>42</v>
      </c>
      <c r="C2" s="45"/>
      <c r="D2" s="45"/>
      <c r="E2" s="45"/>
      <c r="F2" s="45"/>
      <c r="AI2" s="1"/>
    </row>
    <row r="3" spans="2:39" ht="46.5" x14ac:dyDescent="0.65">
      <c r="B3" s="12" t="s">
        <v>2</v>
      </c>
      <c r="C3" s="13" t="s">
        <v>3</v>
      </c>
      <c r="D3" s="14" t="s">
        <v>7</v>
      </c>
      <c r="E3" s="14" t="s">
        <v>13</v>
      </c>
      <c r="F3" s="14" t="s">
        <v>39</v>
      </c>
      <c r="J3" t="s">
        <v>27</v>
      </c>
      <c r="K3">
        <v>9</v>
      </c>
      <c r="O3" t="s">
        <v>0</v>
      </c>
      <c r="Q3">
        <v>0</v>
      </c>
      <c r="R3">
        <v>0</v>
      </c>
      <c r="S3">
        <v>9</v>
      </c>
      <c r="U3">
        <v>0</v>
      </c>
      <c r="V3" t="s">
        <v>15</v>
      </c>
      <c r="W3" t="s">
        <v>6</v>
      </c>
      <c r="AB3" s="1" t="s">
        <v>15</v>
      </c>
      <c r="AC3" s="1" t="s">
        <v>16</v>
      </c>
      <c r="AD3" s="1" t="s">
        <v>17</v>
      </c>
      <c r="AE3" s="1" t="s">
        <v>18</v>
      </c>
      <c r="AF3" s="1" t="s">
        <v>19</v>
      </c>
      <c r="AG3" s="1" t="s">
        <v>23</v>
      </c>
      <c r="AH3" s="1" t="s">
        <v>22</v>
      </c>
      <c r="AI3" s="1" t="s">
        <v>33</v>
      </c>
      <c r="AK3" t="s">
        <v>15</v>
      </c>
      <c r="AL3" s="8" t="s">
        <v>16</v>
      </c>
      <c r="AM3">
        <v>2</v>
      </c>
    </row>
    <row r="4" spans="2:39" ht="46.5" customHeight="1" x14ac:dyDescent="0.65">
      <c r="B4" s="15" t="s">
        <v>43</v>
      </c>
      <c r="C4" s="16" t="s">
        <v>0</v>
      </c>
      <c r="D4" s="17">
        <f>IF(C4="Yes",1,0)</f>
        <v>1</v>
      </c>
      <c r="E4" s="17">
        <f>D4</f>
        <v>1</v>
      </c>
      <c r="F4" s="17">
        <f>G4-D4</f>
        <v>0</v>
      </c>
      <c r="G4">
        <v>1</v>
      </c>
      <c r="J4" t="s">
        <v>28</v>
      </c>
      <c r="K4">
        <v>10</v>
      </c>
      <c r="O4" t="s">
        <v>6</v>
      </c>
      <c r="Q4">
        <v>2</v>
      </c>
      <c r="R4">
        <v>10</v>
      </c>
      <c r="S4">
        <v>24</v>
      </c>
      <c r="U4">
        <v>1</v>
      </c>
      <c r="V4" t="s">
        <v>15</v>
      </c>
      <c r="W4" t="s">
        <v>6</v>
      </c>
      <c r="Y4" s="1" t="s">
        <v>24</v>
      </c>
      <c r="Z4" s="1">
        <v>0</v>
      </c>
      <c r="AA4" s="1">
        <v>10000</v>
      </c>
      <c r="AB4" s="1">
        <v>0</v>
      </c>
      <c r="AC4" s="3">
        <v>2.5000000000000001E-3</v>
      </c>
      <c r="AD4" s="3">
        <v>5.0000000000000001E-3</v>
      </c>
      <c r="AE4" s="3">
        <v>0.02</v>
      </c>
      <c r="AF4" s="3">
        <v>2.2499999999999999E-2</v>
      </c>
      <c r="AG4" s="3">
        <v>5.0000000000000001E-4</v>
      </c>
      <c r="AH4" s="3">
        <v>0.02</v>
      </c>
      <c r="AI4" s="2">
        <v>0.01</v>
      </c>
      <c r="AK4" t="s">
        <v>16</v>
      </c>
      <c r="AL4" t="s">
        <v>17</v>
      </c>
      <c r="AM4">
        <v>4</v>
      </c>
    </row>
    <row r="5" spans="2:39" ht="46.5" x14ac:dyDescent="0.65">
      <c r="B5" s="18" t="s">
        <v>1</v>
      </c>
      <c r="C5" s="19" t="s">
        <v>0</v>
      </c>
      <c r="D5" s="20">
        <f>IF(C5="Yes",1,0)</f>
        <v>1</v>
      </c>
      <c r="E5" s="20" t="s">
        <v>14</v>
      </c>
      <c r="F5" s="20">
        <f t="shared" ref="F5:F12" si="0">G5-D5</f>
        <v>0</v>
      </c>
      <c r="G5">
        <v>1</v>
      </c>
      <c r="J5" t="s">
        <v>15</v>
      </c>
      <c r="K5">
        <v>4</v>
      </c>
      <c r="Q5">
        <v>3</v>
      </c>
      <c r="R5">
        <v>25</v>
      </c>
      <c r="U5">
        <v>2</v>
      </c>
      <c r="V5" t="s">
        <v>16</v>
      </c>
      <c r="W5" t="s">
        <v>6</v>
      </c>
      <c r="Y5" s="1" t="s">
        <v>25</v>
      </c>
      <c r="Z5" s="1">
        <v>10000</v>
      </c>
      <c r="AA5" s="1">
        <v>20000</v>
      </c>
      <c r="AB5" s="1">
        <v>0</v>
      </c>
      <c r="AC5" s="3">
        <v>1.5E-3</v>
      </c>
      <c r="AD5" s="3">
        <v>2.5000000000000001E-3</v>
      </c>
      <c r="AE5" s="3">
        <v>0.01</v>
      </c>
      <c r="AF5" s="3">
        <v>1.2500000000000001E-2</v>
      </c>
      <c r="AG5" s="3">
        <v>5.0000000000000001E-4</v>
      </c>
      <c r="AH5" s="3">
        <v>3.5000000000000001E-3</v>
      </c>
      <c r="AI5" s="2">
        <v>3.5000000000000001E-3</v>
      </c>
      <c r="AK5" t="s">
        <v>17</v>
      </c>
      <c r="AL5" t="s">
        <v>18</v>
      </c>
      <c r="AM5">
        <v>6</v>
      </c>
    </row>
    <row r="6" spans="2:39" ht="46.5" x14ac:dyDescent="0.65">
      <c r="B6" s="18" t="s">
        <v>4</v>
      </c>
      <c r="C6" s="19" t="s">
        <v>0</v>
      </c>
      <c r="D6" s="20">
        <f>IF(C6="Yes",2,0)</f>
        <v>2</v>
      </c>
      <c r="E6" s="20">
        <f>IF(D6&gt;0,1,0)</f>
        <v>1</v>
      </c>
      <c r="F6" s="20">
        <f t="shared" si="0"/>
        <v>0</v>
      </c>
      <c r="G6">
        <v>2</v>
      </c>
      <c r="J6" t="s">
        <v>16</v>
      </c>
      <c r="K6">
        <v>5</v>
      </c>
      <c r="U6">
        <v>3</v>
      </c>
      <c r="V6" t="s">
        <v>16</v>
      </c>
      <c r="W6" t="s">
        <v>6</v>
      </c>
      <c r="Y6" s="1" t="s">
        <v>26</v>
      </c>
      <c r="Z6" s="1">
        <v>20000</v>
      </c>
      <c r="AA6" s="1">
        <v>999999999</v>
      </c>
      <c r="AB6" s="1">
        <v>0</v>
      </c>
      <c r="AC6" s="3">
        <v>5.0000000000000001E-4</v>
      </c>
      <c r="AD6" s="3">
        <v>1E-3</v>
      </c>
      <c r="AE6" s="3">
        <v>3.5000000000000001E-3</v>
      </c>
      <c r="AF6" s="3">
        <v>5.0000000000000001E-3</v>
      </c>
      <c r="AG6" s="3">
        <v>5.0000000000000001E-4</v>
      </c>
      <c r="AH6" s="3">
        <v>3.5000000000000001E-3</v>
      </c>
      <c r="AI6" s="2">
        <v>3.5000000000000001E-3</v>
      </c>
      <c r="AK6" t="s">
        <v>18</v>
      </c>
      <c r="AL6" t="s">
        <v>19</v>
      </c>
      <c r="AM6">
        <v>11</v>
      </c>
    </row>
    <row r="7" spans="2:39" ht="46.5" x14ac:dyDescent="0.65">
      <c r="B7" s="18" t="s">
        <v>11</v>
      </c>
      <c r="C7" s="19">
        <v>12</v>
      </c>
      <c r="D7" s="20">
        <f>LOOKUP(C7,$R$3:$R$5,$Q$3:$Q$5)</f>
        <v>2</v>
      </c>
      <c r="E7" s="20">
        <f>IF(C7&gt;=12,1,0)</f>
        <v>1</v>
      </c>
      <c r="F7" s="20">
        <f>G7-D7</f>
        <v>1</v>
      </c>
      <c r="G7">
        <v>3</v>
      </c>
      <c r="J7" t="s">
        <v>17</v>
      </c>
      <c r="K7">
        <v>6</v>
      </c>
      <c r="U7">
        <v>4</v>
      </c>
      <c r="V7" t="s">
        <v>17</v>
      </c>
      <c r="W7" t="s">
        <v>6</v>
      </c>
    </row>
    <row r="8" spans="2:39" ht="46.5" x14ac:dyDescent="0.65">
      <c r="B8" s="18" t="s">
        <v>5</v>
      </c>
      <c r="C8" s="19">
        <v>0</v>
      </c>
      <c r="D8" s="20">
        <f>LOOKUP(C8,$R$3:$R$5,$Q$3:$Q$5)</f>
        <v>0</v>
      </c>
      <c r="E8" s="20" t="s">
        <v>14</v>
      </c>
      <c r="F8" s="20">
        <f t="shared" si="0"/>
        <v>3</v>
      </c>
      <c r="G8">
        <v>3</v>
      </c>
      <c r="J8" t="s">
        <v>18</v>
      </c>
      <c r="K8">
        <v>7</v>
      </c>
      <c r="U8">
        <v>5</v>
      </c>
      <c r="V8" t="s">
        <v>17</v>
      </c>
      <c r="W8" t="s">
        <v>6</v>
      </c>
    </row>
    <row r="9" spans="2:39" ht="46.5" x14ac:dyDescent="0.65">
      <c r="B9" s="21" t="s">
        <v>10</v>
      </c>
      <c r="C9" s="22" t="s">
        <v>6</v>
      </c>
      <c r="D9" s="48">
        <f>IF(C11="Yes",0,IF(AND(C9="Yes",C10="Yes"),3,0))</f>
        <v>0</v>
      </c>
      <c r="E9" s="48" t="s">
        <v>14</v>
      </c>
      <c r="F9" s="48">
        <f t="shared" si="0"/>
        <v>3</v>
      </c>
      <c r="G9">
        <v>3</v>
      </c>
      <c r="J9" t="s">
        <v>19</v>
      </c>
      <c r="K9">
        <v>8</v>
      </c>
      <c r="U9">
        <v>6</v>
      </c>
      <c r="V9" t="s">
        <v>18</v>
      </c>
      <c r="W9" t="s">
        <v>38</v>
      </c>
    </row>
    <row r="10" spans="2:39" ht="23.25" x14ac:dyDescent="0.65">
      <c r="B10" s="21" t="s">
        <v>9</v>
      </c>
      <c r="C10" s="22" t="s">
        <v>6</v>
      </c>
      <c r="D10" s="49"/>
      <c r="E10" s="49"/>
      <c r="F10" s="49">
        <f t="shared" si="0"/>
        <v>0</v>
      </c>
      <c r="U10">
        <v>7</v>
      </c>
      <c r="V10" t="s">
        <v>18</v>
      </c>
      <c r="W10" t="s">
        <v>38</v>
      </c>
    </row>
    <row r="11" spans="2:39" ht="43.5" customHeight="1" x14ac:dyDescent="0.65">
      <c r="B11" s="21" t="s">
        <v>8</v>
      </c>
      <c r="C11" s="22" t="s">
        <v>6</v>
      </c>
      <c r="D11" s="50"/>
      <c r="E11" s="50"/>
      <c r="F11" s="50">
        <f t="shared" si="0"/>
        <v>0</v>
      </c>
      <c r="U11">
        <v>8</v>
      </c>
      <c r="V11" t="s">
        <v>18</v>
      </c>
      <c r="W11" t="s">
        <v>38</v>
      </c>
    </row>
    <row r="12" spans="2:39" ht="23.25" x14ac:dyDescent="0.65">
      <c r="B12" s="18" t="s">
        <v>12</v>
      </c>
      <c r="C12" s="19" t="s">
        <v>6</v>
      </c>
      <c r="D12" s="20">
        <f>IF(C12="Yes",3,0)</f>
        <v>0</v>
      </c>
      <c r="E12" s="20" t="s">
        <v>14</v>
      </c>
      <c r="F12" s="20">
        <f t="shared" si="0"/>
        <v>3</v>
      </c>
      <c r="G12">
        <v>3</v>
      </c>
      <c r="U12">
        <v>9</v>
      </c>
      <c r="V12" t="s">
        <v>18</v>
      </c>
      <c r="W12" t="s">
        <v>38</v>
      </c>
    </row>
    <row r="13" spans="2:39" ht="23.25" x14ac:dyDescent="0.65">
      <c r="B13" s="23"/>
      <c r="C13" s="24"/>
      <c r="D13" s="25">
        <f>SUM(D4:D12)</f>
        <v>6</v>
      </c>
      <c r="E13" s="25" t="str">
        <f>IF(E4+E6+E7=3,"Qualified","Do Not Qualify")</f>
        <v>Qualified</v>
      </c>
      <c r="F13" s="25">
        <f>SUM(F4:F12)</f>
        <v>10</v>
      </c>
      <c r="U13">
        <v>10</v>
      </c>
      <c r="V13" t="s">
        <v>18</v>
      </c>
      <c r="W13" t="s">
        <v>38</v>
      </c>
    </row>
    <row r="14" spans="2:39" ht="23.25" x14ac:dyDescent="0.65">
      <c r="B14" s="23"/>
      <c r="C14" s="24"/>
      <c r="D14" s="24"/>
      <c r="E14" s="24"/>
      <c r="F14" s="26"/>
      <c r="U14">
        <v>11</v>
      </c>
      <c r="V14" t="s">
        <v>19</v>
      </c>
      <c r="W14" t="s">
        <v>38</v>
      </c>
    </row>
    <row r="15" spans="2:39" ht="23.25" x14ac:dyDescent="0.65">
      <c r="B15" s="27" t="s">
        <v>44</v>
      </c>
      <c r="C15" s="28" t="str">
        <f>E13</f>
        <v>Qualified</v>
      </c>
      <c r="D15" s="29">
        <f>VLOOKUP(C15,$J$3:$K$9,2,FALSE)</f>
        <v>10</v>
      </c>
      <c r="E15" s="46" t="s">
        <v>41</v>
      </c>
      <c r="F15" s="47"/>
      <c r="U15">
        <v>12</v>
      </c>
      <c r="V15" t="s">
        <v>19</v>
      </c>
      <c r="W15" t="s">
        <v>38</v>
      </c>
    </row>
    <row r="16" spans="2:39" ht="23.25" x14ac:dyDescent="0.65">
      <c r="B16" s="27" t="s">
        <v>45</v>
      </c>
      <c r="C16" s="28" t="str">
        <f>VLOOKUP(D13,$U:$V,2,FALSE)</f>
        <v>Michigan</v>
      </c>
      <c r="D16" s="29">
        <f>VLOOKUP(C16,$J$3:$K$9,2,FALSE)</f>
        <v>7</v>
      </c>
      <c r="E16" s="30" t="s">
        <v>20</v>
      </c>
      <c r="F16" s="30" t="s">
        <v>21</v>
      </c>
      <c r="U16">
        <v>13</v>
      </c>
      <c r="V16" t="s">
        <v>19</v>
      </c>
      <c r="W16" t="s">
        <v>38</v>
      </c>
    </row>
    <row r="17" spans="2:23" ht="23.25" x14ac:dyDescent="0.65">
      <c r="B17" s="27" t="s">
        <v>46</v>
      </c>
      <c r="C17" s="28" t="str">
        <f>VLOOKUP(C16,$V:$W,2,FALSE)</f>
        <v>Yes!</v>
      </c>
      <c r="D17" s="31" t="s">
        <v>32</v>
      </c>
      <c r="E17" s="43"/>
      <c r="F17" s="32">
        <f>SUM(P28:P30)</f>
        <v>252.5</v>
      </c>
    </row>
    <row r="18" spans="2:23" ht="69.75" x14ac:dyDescent="0.65">
      <c r="B18" s="27" t="s">
        <v>47</v>
      </c>
      <c r="C18" s="28">
        <f>IFERROR(VLOOKUP(C16,$AK:$AM,3,FALSE)-D13,"")</f>
        <v>5</v>
      </c>
      <c r="D18" s="31" t="s">
        <v>33</v>
      </c>
      <c r="E18" s="44"/>
      <c r="F18" s="32">
        <f>SUM(Q28:Q30)</f>
        <v>0</v>
      </c>
    </row>
    <row r="19" spans="2:23" ht="23.25" x14ac:dyDescent="0.65">
      <c r="B19" s="33"/>
      <c r="C19" s="24"/>
      <c r="D19" s="37" t="s">
        <v>48</v>
      </c>
      <c r="E19" s="11">
        <f>SUM($O$28:$O$30)</f>
        <v>317.5</v>
      </c>
      <c r="F19" s="11">
        <f>SUM($P$28:$P$30)+SUM(Q28:Q30)</f>
        <v>252.5</v>
      </c>
      <c r="U19">
        <v>14</v>
      </c>
      <c r="V19" t="s">
        <v>19</v>
      </c>
      <c r="W19" t="s">
        <v>38</v>
      </c>
    </row>
    <row r="20" spans="2:23" ht="46.5" x14ac:dyDescent="0.65">
      <c r="B20" s="27" t="s">
        <v>30</v>
      </c>
      <c r="C20" s="34">
        <v>25000</v>
      </c>
      <c r="D20" s="39" t="s">
        <v>49</v>
      </c>
      <c r="E20" s="38">
        <f>E19/$C$22</f>
        <v>1.2699999999999999E-2</v>
      </c>
      <c r="F20" s="38">
        <f>F19/$C$22</f>
        <v>1.01E-2</v>
      </c>
      <c r="U20">
        <v>15</v>
      </c>
      <c r="V20" t="s">
        <v>19</v>
      </c>
      <c r="W20" t="s">
        <v>38</v>
      </c>
    </row>
    <row r="21" spans="2:23" ht="46.5" x14ac:dyDescent="0.65">
      <c r="B21" s="27" t="s">
        <v>29</v>
      </c>
      <c r="C21" s="34"/>
      <c r="D21" s="24"/>
      <c r="E21" s="24"/>
      <c r="F21" s="26"/>
      <c r="U21">
        <v>16</v>
      </c>
      <c r="V21" t="s">
        <v>19</v>
      </c>
      <c r="W21" t="s">
        <v>38</v>
      </c>
    </row>
    <row r="22" spans="2:23" ht="23.25" x14ac:dyDescent="0.65">
      <c r="B22" s="27" t="s">
        <v>31</v>
      </c>
      <c r="C22" s="35">
        <f>SUM(C20:C21)</f>
        <v>25000</v>
      </c>
      <c r="D22" s="24"/>
      <c r="E22" s="24"/>
      <c r="F22" s="26"/>
    </row>
    <row r="23" spans="2:23" ht="23.25" x14ac:dyDescent="0.65">
      <c r="B23" s="26"/>
      <c r="C23" s="24"/>
      <c r="D23" s="36"/>
      <c r="E23" s="36"/>
      <c r="F23" s="26"/>
    </row>
    <row r="24" spans="2:23" ht="21.75" x14ac:dyDescent="0.6">
      <c r="B24" s="9"/>
      <c r="C24" s="10"/>
      <c r="F24" s="9"/>
    </row>
    <row r="25" spans="2:23" ht="21.75" x14ac:dyDescent="0.6">
      <c r="B25" s="40"/>
      <c r="C25" s="40"/>
      <c r="F25" s="9"/>
    </row>
    <row r="26" spans="2:23" ht="29.25" customHeight="1" x14ac:dyDescent="0.6">
      <c r="B26" s="40"/>
      <c r="C26" s="40"/>
      <c r="F26" s="9"/>
    </row>
    <row r="27" spans="2:23" ht="21.75" x14ac:dyDescent="0.6">
      <c r="B27" s="40"/>
      <c r="C27" s="40"/>
      <c r="F27" s="9"/>
      <c r="J27" s="1" t="s">
        <v>20</v>
      </c>
      <c r="K27" s="1" t="s">
        <v>32</v>
      </c>
      <c r="L27" t="s">
        <v>33</v>
      </c>
      <c r="M27" s="7" t="s">
        <v>34</v>
      </c>
      <c r="N27" s="7" t="s">
        <v>35</v>
      </c>
      <c r="O27" s="5" t="s">
        <v>34</v>
      </c>
      <c r="P27" s="5" t="s">
        <v>35</v>
      </c>
      <c r="Q27" s="5" t="s">
        <v>36</v>
      </c>
      <c r="R27" s="7" t="s">
        <v>36</v>
      </c>
    </row>
    <row r="28" spans="2:23" x14ac:dyDescent="0.25">
      <c r="J28" s="4">
        <f>VLOOKUP($I29,$Y:$AH,$D$16,FALSE)</f>
        <v>0.02</v>
      </c>
      <c r="K28" s="4">
        <f>VLOOKUP($I29,$Y:$AH,$D$15,FALSE)</f>
        <v>0.02</v>
      </c>
      <c r="L28" s="4">
        <f>IF($E$13="Qualified",$AI4,$AG4)</f>
        <v>0.01</v>
      </c>
      <c r="M28" s="7">
        <f>IF($C$22&gt;10000,10000,$C$22)</f>
        <v>10000</v>
      </c>
      <c r="N28" s="7">
        <f>IF($C$20&gt;10000,10000,$C$20)</f>
        <v>10000</v>
      </c>
      <c r="O28" s="6">
        <f>M28*J28</f>
        <v>200</v>
      </c>
      <c r="P28" s="6">
        <f>N28*K28</f>
        <v>200</v>
      </c>
      <c r="Q28" s="5">
        <f>R28*L28</f>
        <v>0</v>
      </c>
      <c r="R28" s="7">
        <f>IF($C$21&gt;10000,10000,$C$21)</f>
        <v>0</v>
      </c>
    </row>
    <row r="29" spans="2:23" x14ac:dyDescent="0.25">
      <c r="I29" t="s">
        <v>24</v>
      </c>
      <c r="J29" s="4">
        <f>VLOOKUP($I30,$Y:$AH,$D$16,FALSE)</f>
        <v>0.01</v>
      </c>
      <c r="K29" s="4">
        <f>VLOOKUP($I30,$Y:$AH,$D$15,FALSE)</f>
        <v>3.5000000000000001E-3</v>
      </c>
      <c r="L29" s="4">
        <f>IF($E$13="Qualified",$AI5,$AG5)</f>
        <v>3.5000000000000001E-3</v>
      </c>
      <c r="M29" s="7">
        <f>IF(AND($C$22&gt;10000,$C$22&lt;20000.01),C22-10000,IF(C22&gt;10000,10000,0))</f>
        <v>10000</v>
      </c>
      <c r="N29" s="7">
        <f>IF(C20&gt;10000,C20-10000,0)</f>
        <v>15000</v>
      </c>
      <c r="O29" s="6">
        <f t="shared" ref="O29:O30" si="1">M29*J29</f>
        <v>100</v>
      </c>
      <c r="P29" s="6">
        <f t="shared" ref="P29:P30" si="2">N29*K29</f>
        <v>52.5</v>
      </c>
      <c r="Q29" s="5">
        <f>R29*L29</f>
        <v>0</v>
      </c>
      <c r="R29" s="7">
        <f>IF(C21&gt;10000,C21-10000,0)</f>
        <v>0</v>
      </c>
    </row>
    <row r="30" spans="2:23" x14ac:dyDescent="0.25">
      <c r="I30" t="s">
        <v>25</v>
      </c>
      <c r="J30" s="4">
        <f>VLOOKUP($I31,$Y:$AH,$D$16,FALSE)</f>
        <v>3.5000000000000001E-3</v>
      </c>
      <c r="K30" s="4"/>
      <c r="L30" s="4"/>
      <c r="M30" s="7">
        <f>IF(C22&gt;20000,C22-20000,0)</f>
        <v>5000</v>
      </c>
      <c r="N30" s="7"/>
      <c r="O30" s="6">
        <f t="shared" si="1"/>
        <v>17.5</v>
      </c>
      <c r="P30" s="6">
        <f t="shared" si="2"/>
        <v>0</v>
      </c>
      <c r="Q30" s="5"/>
      <c r="R30" s="7"/>
    </row>
    <row r="31" spans="2:23" x14ac:dyDescent="0.25">
      <c r="I31" t="s">
        <v>26</v>
      </c>
    </row>
  </sheetData>
  <sheetProtection algorithmName="SHA-512" hashValue="Zb95LtWRcpTAAQyDi1GBPVFpk1sY04M3HolCHtPAHv5EMZZ2S7nu6nmArnrFDNoZ045hZpYxyqb/vs3/m0zFWQ==" saltValue="CKysC5diKjibnhny8c6eyg==" spinCount="100000" sheet="1" objects="1" scenarios="1"/>
  <mergeCells count="10">
    <mergeCell ref="B27:C27"/>
    <mergeCell ref="B26:C26"/>
    <mergeCell ref="B25:C25"/>
    <mergeCell ref="B1:F1"/>
    <mergeCell ref="E17:E18"/>
    <mergeCell ref="B2:F2"/>
    <mergeCell ref="E15:F15"/>
    <mergeCell ref="F9:F11"/>
    <mergeCell ref="D9:D11"/>
    <mergeCell ref="E9:E11"/>
  </mergeCells>
  <conditionalFormatting sqref="F4:F12">
    <cfRule type="cellIs" dxfId="0" priority="1" operator="greaterThan">
      <formula>0</formula>
    </cfRule>
  </conditionalFormatting>
  <dataValidations count="1">
    <dataValidation type="list" allowBlank="1" showInputMessage="1" showErrorMessage="1" sqref="C9:C11 C12 C4:C6" xr:uid="{00000000-0002-0000-0000-000000000000}">
      <formula1>$O$3:$O$4</formula1>
    </dataValidation>
  </dataValidations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>CP Federal Credit 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Chaney</dc:creator>
  <cp:lastModifiedBy>Jennifer Hodges</cp:lastModifiedBy>
  <dcterms:created xsi:type="dcterms:W3CDTF">2020-07-24T15:20:26Z</dcterms:created>
  <dcterms:modified xsi:type="dcterms:W3CDTF">2020-12-04T16:28:52Z</dcterms:modified>
</cp:coreProperties>
</file>